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00_servizioacquisti\SERVIZIOACQUISTI\GARE\2025\CONSIP\SDA\CONTACT CENTER\Allegati\"/>
    </mc:Choice>
  </mc:AlternateContent>
  <xr:revisionPtr revIDLastSave="0" documentId="13_ncr:1_{13F2F821-7924-482D-86A6-15985D4F044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glio1" sheetId="1" r:id="rId1"/>
  </sheets>
  <definedNames>
    <definedName name="_Hlk169614742" localSheetId="0">Foglio1!$A$31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C20" i="1"/>
  <c r="E20" i="1" s="1"/>
  <c r="F8" i="1"/>
  <c r="F7" i="1"/>
  <c r="C7" i="1"/>
  <c r="E7" i="1" s="1"/>
  <c r="D23" i="1"/>
  <c r="F17" i="1" l="1"/>
  <c r="F16" i="1"/>
  <c r="F13" i="1"/>
  <c r="F12" i="1"/>
  <c r="F9" i="1"/>
  <c r="C17" i="1"/>
  <c r="E17" i="1" s="1"/>
  <c r="C16" i="1"/>
  <c r="E16" i="1" s="1"/>
  <c r="C13" i="1"/>
  <c r="E13" i="1" s="1"/>
  <c r="C12" i="1"/>
  <c r="E12" i="1" s="1"/>
  <c r="C8" i="1"/>
  <c r="E8" i="1" s="1"/>
  <c r="G8" i="1" s="1"/>
  <c r="C9" i="1"/>
  <c r="E9" i="1" s="1"/>
  <c r="G16" i="1" l="1"/>
  <c r="I16" i="1" s="1"/>
  <c r="G17" i="1"/>
  <c r="G20" i="1"/>
  <c r="I20" i="1" s="1"/>
  <c r="G18" i="1"/>
  <c r="E18" i="1"/>
  <c r="I17" i="1"/>
  <c r="J17" i="1" s="1"/>
  <c r="J16" i="1" l="1"/>
  <c r="I18" i="1"/>
  <c r="F14" i="1" l="1"/>
  <c r="I8" i="1"/>
  <c r="J8" i="1" s="1"/>
  <c r="G13" i="1"/>
  <c r="I13" i="1" s="1"/>
  <c r="J13" i="1" s="1"/>
  <c r="G9" i="1"/>
  <c r="I9" i="1" s="1"/>
  <c r="J9" i="1" s="1"/>
  <c r="F10" i="1"/>
  <c r="B18" i="1"/>
  <c r="J20" i="1" l="1"/>
  <c r="G12" i="1"/>
  <c r="I12" i="1" s="1"/>
  <c r="I14" i="1" s="1"/>
  <c r="E14" i="1"/>
  <c r="G7" i="1"/>
  <c r="I7" i="1" s="1"/>
  <c r="J7" i="1" s="1"/>
  <c r="E10" i="1"/>
  <c r="G10" i="1" s="1"/>
  <c r="G14" i="1" l="1"/>
  <c r="J12" i="1"/>
  <c r="I10" i="1" l="1"/>
  <c r="B27" i="1" s="1"/>
  <c r="B28" i="1" l="1"/>
  <c r="B29" i="1" s="1"/>
  <c r="B36" i="1" s="1"/>
</calcChain>
</file>

<file path=xl/sharedStrings.xml><?xml version="1.0" encoding="utf-8"?>
<sst xmlns="http://schemas.openxmlformats.org/spreadsheetml/2006/main" count="69" uniqueCount="39">
  <si>
    <t>Controllo</t>
  </si>
  <si>
    <t>Quota ribassabile</t>
  </si>
  <si>
    <t xml:space="preserve">Istruzioni: compilare le caselle in verde. </t>
  </si>
  <si>
    <t>OFFERTA ECONOMICA</t>
  </si>
  <si>
    <t>Revisione prezzi ex art. 60, comma 3 D.Lgs. 36/2023 (non soggetto a ribasso)</t>
  </si>
  <si>
    <t xml:space="preserve">Valore complessivo offerto </t>
  </si>
  <si>
    <t>Totale</t>
  </si>
  <si>
    <t>Modifiche del contratto ex art. 120, comma 9 D.Lgs. 36/2023 (non soggetto a ribasso)</t>
  </si>
  <si>
    <t xml:space="preserve">Prercentuale di ribasso su valore </t>
  </si>
  <si>
    <t>TOTALE</t>
  </si>
  <si>
    <t>Controllo Base d'asta</t>
  </si>
  <si>
    <t>Modifiche del contratto ex art. 120, comma 1, lett. a) D.Lgs. 36/2023 (non soggetto a ribasso)</t>
  </si>
  <si>
    <t>Proroga tecnica art. 120, comma 11 D.Lgs. 36/2023</t>
  </si>
  <si>
    <t>SERVIZIO B. HelpDesk: richieste di supporto Audio Video per la didattica e gli eventi nelle aule</t>
  </si>
  <si>
    <t xml:space="preserve">SERVIZIO A -Contact Center:  segnalazioni di guasto e richieste di Facility Management </t>
  </si>
  <si>
    <t xml:space="preserve">SERVIZIO C - Centralino: richieste generali e di numeri telefonici interni </t>
  </si>
  <si>
    <t>Coordinatore del servizio/team leader</t>
  </si>
  <si>
    <t>Ticket</t>
  </si>
  <si>
    <t>Mail</t>
  </si>
  <si>
    <t>Numero stimato</t>
  </si>
  <si>
    <t>telefonate​ o conversazion Whatsup</t>
  </si>
  <si>
    <t>Costo (quota non ribassabile)</t>
  </si>
  <si>
    <t xml:space="preserve">Percentuale di ribasso su valore </t>
  </si>
  <si>
    <t>Costo (quota non ribassabile) €/token</t>
  </si>
  <si>
    <t>Chiamata</t>
  </si>
  <si>
    <t>Costo rimborsato</t>
  </si>
  <si>
    <t>Rimborso costi telefonici numero verde (a chiamata) - non ribassabile</t>
  </si>
  <si>
    <t xml:space="preserve">Offerta economica totale (da caricare a sistema):  valore complessivo contratto </t>
  </si>
  <si>
    <t>Premialità - art. 126, comma 2-bis D.Lgs. 36/2023</t>
  </si>
  <si>
    <t>Valore offerto  [€] 36 mesi</t>
  </si>
  <si>
    <t>Valore offerto  [€]  ulteriori 36 mesi</t>
  </si>
  <si>
    <t>Prezzo a base d'asta          (36  mesi)</t>
  </si>
  <si>
    <t>Totale offerto (36 mesi)</t>
  </si>
  <si>
    <t>Oneri per la sicurezza da interferenze non soggetti a ribasso</t>
  </si>
  <si>
    <t>Valore €/token a base d'asta comprensivo di spese generali e utile di impresa</t>
  </si>
  <si>
    <t>Numero token inclusi nel canone</t>
  </si>
  <si>
    <t>Valore €/anno a base d'asta comprensivo di spese generali e utile di impresa</t>
  </si>
  <si>
    <t>Costo (quota non ribassabile) €/anno</t>
  </si>
  <si>
    <t>APPALTO SPECIFICO INDETTO DAL POLITECNICO DI MILANO PER L’AFFIDAMENTO DEI SERVIZI DI CONTACT CENTER    CIG -    B7AC321E5C                                                                                                                                                                                                                                                                                              All. 9 Dettaglio offerta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</si>
</sst>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_-&quot;€&quot;\ * #,##0.00_-;\-&quot;€&quot;\ * #,##0.00_-;_-&quot;€&quot;\ * &quot;-&quot;??_-;_-@_-"/>
    <numFmt numFmtId="165" formatCode="_-* #,##0.00\ [$€-410]_-;\-* #,##0.00\ [$€-410]_-;_-* &quot;-&quot;??\ [$€-410]_-;_-@_-"/>
    <numFmt numFmtId="166" formatCode="_-* #,##0.00000\ [$€-410]_-;\-* #,##0.00000\ [$€-410]_-;_-* &quot;-&quot;??\ [$€-410]_-;_-@_-"/>
    <numFmt numFmtId="167" formatCode="_-* #,##0.00000\ [$€-410]_-;\-* #,##0.00000\ [$€-410]_-;_-* &quot;-&quot;?????\ [$€-410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Frank Ruhl Libre"/>
    </font>
    <font>
      <b/>
      <sz val="9"/>
      <color theme="1"/>
      <name val="Frank Ruhl Libre"/>
    </font>
    <font>
      <b/>
      <sz val="9"/>
      <color theme="0"/>
      <name val="Frank Ruhl Libre"/>
    </font>
    <font>
      <sz val="9"/>
      <color rgb="FFFF0000"/>
      <name val="Frank Ruhl Libre"/>
    </font>
    <font>
      <b/>
      <i/>
      <sz val="9"/>
      <color theme="1"/>
      <name val="Frank Ruhl Libre"/>
    </font>
    <font>
      <sz val="9"/>
      <color rgb="FF000000"/>
      <name val="Frank Ruhl Libre"/>
    </font>
    <font>
      <b/>
      <sz val="9"/>
      <color rgb="FF000000"/>
      <name val="Frank Ruhl Libre"/>
    </font>
    <font>
      <b/>
      <i/>
      <sz val="9"/>
      <color rgb="FF000000"/>
      <name val="Frank Ruhl Libre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9" fontId="2" fillId="4" borderId="1" xfId="2" applyFont="1" applyFill="1" applyBorder="1" applyProtection="1">
      <protection locked="0"/>
    </xf>
    <xf numFmtId="9" fontId="2" fillId="4" borderId="11" xfId="2" applyFont="1" applyFill="1" applyBorder="1" applyProtection="1">
      <protection locked="0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4" fillId="2" borderId="15" xfId="0" applyFont="1" applyFill="1" applyBorder="1" applyAlignment="1" applyProtection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7" fillId="0" borderId="1" xfId="0" applyFont="1" applyBorder="1" applyProtection="1"/>
    <xf numFmtId="0" fontId="7" fillId="0" borderId="1" xfId="0" applyFont="1" applyBorder="1" applyAlignment="1" applyProtection="1">
      <alignment horizontal="center"/>
    </xf>
    <xf numFmtId="8" fontId="7" fillId="0" borderId="1" xfId="0" applyNumberFormat="1" applyFont="1" applyBorder="1" applyProtection="1"/>
    <xf numFmtId="165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center"/>
    </xf>
    <xf numFmtId="164" fontId="2" fillId="0" borderId="1" xfId="1" applyFont="1" applyBorder="1" applyProtection="1"/>
    <xf numFmtId="0" fontId="2" fillId="5" borderId="6" xfId="0" applyFont="1" applyFill="1" applyBorder="1" applyAlignment="1" applyProtection="1">
      <alignment horizontal="center" vertical="center"/>
    </xf>
    <xf numFmtId="165" fontId="2" fillId="0" borderId="0" xfId="0" applyNumberFormat="1" applyFont="1" applyProtection="1"/>
    <xf numFmtId="0" fontId="9" fillId="0" borderId="18" xfId="0" applyFont="1" applyBorder="1" applyProtection="1"/>
    <xf numFmtId="0" fontId="8" fillId="0" borderId="19" xfId="0" applyFont="1" applyBorder="1" applyAlignment="1" applyProtection="1">
      <alignment horizontal="center"/>
    </xf>
    <xf numFmtId="8" fontId="8" fillId="0" borderId="19" xfId="0" applyNumberFormat="1" applyFont="1" applyBorder="1" applyProtection="1"/>
    <xf numFmtId="165" fontId="3" fillId="0" borderId="19" xfId="0" applyNumberFormat="1" applyFont="1" applyBorder="1" applyAlignment="1" applyProtection="1">
      <alignment horizontal="center" vertical="center" wrapText="1"/>
    </xf>
    <xf numFmtId="165" fontId="3" fillId="0" borderId="19" xfId="0" applyNumberFormat="1" applyFont="1" applyBorder="1" applyAlignment="1" applyProtection="1">
      <alignment horizontal="center"/>
    </xf>
    <xf numFmtId="9" fontId="3" fillId="0" borderId="20" xfId="2" applyFont="1" applyFill="1" applyBorder="1" applyProtection="1"/>
    <xf numFmtId="164" fontId="3" fillId="0" borderId="19" xfId="1" applyFont="1" applyBorder="1" applyProtection="1"/>
    <xf numFmtId="0" fontId="3" fillId="0" borderId="0" xfId="0" applyFont="1" applyProtection="1"/>
    <xf numFmtId="0" fontId="3" fillId="0" borderId="21" xfId="0" applyFont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 wrapText="1"/>
    </xf>
    <xf numFmtId="3" fontId="2" fillId="0" borderId="11" xfId="0" applyNumberFormat="1" applyFont="1" applyBorder="1" applyAlignment="1" applyProtection="1">
      <alignment horizontal="center" vertical="center" wrapText="1"/>
    </xf>
    <xf numFmtId="165" fontId="2" fillId="0" borderId="11" xfId="0" applyNumberFormat="1" applyFont="1" applyBorder="1" applyAlignment="1" applyProtection="1">
      <alignment horizontal="center" vertical="center" wrapText="1"/>
    </xf>
    <xf numFmtId="0" fontId="3" fillId="7" borderId="7" xfId="0" applyFont="1" applyFill="1" applyBorder="1" applyAlignment="1" applyProtection="1">
      <alignment horizontal="justify" vertical="center" wrapText="1"/>
    </xf>
    <xf numFmtId="3" fontId="3" fillId="7" borderId="8" xfId="0" applyNumberFormat="1" applyFont="1" applyFill="1" applyBorder="1" applyAlignment="1" applyProtection="1">
      <alignment horizontal="center" vertical="center" wrapText="1"/>
    </xf>
    <xf numFmtId="164" fontId="3" fillId="7" borderId="8" xfId="1" applyFont="1" applyFill="1" applyBorder="1" applyAlignment="1" applyProtection="1">
      <alignment horizontal="center" vertical="center" wrapText="1"/>
    </xf>
    <xf numFmtId="164" fontId="3" fillId="7" borderId="8" xfId="1" applyFont="1" applyFill="1" applyBorder="1" applyAlignment="1" applyProtection="1">
      <alignment horizontal="center"/>
    </xf>
    <xf numFmtId="164" fontId="3" fillId="7" borderId="8" xfId="1" applyFont="1" applyFill="1" applyBorder="1" applyProtection="1"/>
    <xf numFmtId="0" fontId="3" fillId="7" borderId="9" xfId="0" applyFont="1" applyFill="1" applyBorder="1" applyProtection="1"/>
    <xf numFmtId="3" fontId="2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Protection="1"/>
    <xf numFmtId="167" fontId="2" fillId="0" borderId="0" xfId="0" applyNumberFormat="1" applyFont="1" applyProtection="1"/>
    <xf numFmtId="166" fontId="2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Protection="1"/>
    <xf numFmtId="0" fontId="4" fillId="6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wrapText="1"/>
    </xf>
    <xf numFmtId="165" fontId="2" fillId="0" borderId="1" xfId="0" applyNumberFormat="1" applyFont="1" applyBorder="1" applyAlignment="1" applyProtection="1">
      <alignment vertical="center"/>
    </xf>
    <xf numFmtId="0" fontId="3" fillId="0" borderId="1" xfId="0" applyFont="1" applyBorder="1" applyAlignment="1" applyProtection="1">
      <alignment wrapText="1"/>
    </xf>
    <xf numFmtId="165" fontId="3" fillId="0" borderId="1" xfId="0" applyNumberFormat="1" applyFont="1" applyBorder="1" applyAlignment="1" applyProtection="1">
      <alignment vertical="center"/>
    </xf>
    <xf numFmtId="0" fontId="4" fillId="6" borderId="1" xfId="0" applyFont="1" applyFill="1" applyBorder="1" applyAlignment="1" applyProtection="1">
      <alignment wrapText="1"/>
    </xf>
    <xf numFmtId="165" fontId="4" fillId="6" borderId="1" xfId="0" applyNumberFormat="1" applyFont="1" applyFill="1" applyBorder="1" applyAlignment="1" applyProtection="1">
      <alignment vertical="center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topLeftCell="D3" zoomScale="80" zoomScaleNormal="80" workbookViewId="0">
      <selection activeCell="A4" sqref="A4:J4"/>
    </sheetView>
  </sheetViews>
  <sheetFormatPr defaultColWidth="8.7265625" defaultRowHeight="12.5" x14ac:dyDescent="0.35"/>
  <cols>
    <col min="1" max="1" width="55.453125" style="1" bestFit="1" customWidth="1"/>
    <col min="2" max="2" width="20.1796875" style="1" customWidth="1"/>
    <col min="3" max="3" width="29.90625" style="1" bestFit="1" customWidth="1"/>
    <col min="4" max="4" width="29.54296875" style="1" customWidth="1"/>
    <col min="5" max="5" width="18.54296875" style="1" customWidth="1"/>
    <col min="6" max="6" width="21.81640625" style="1" bestFit="1" customWidth="1"/>
    <col min="7" max="7" width="18.54296875" style="1" customWidth="1"/>
    <col min="8" max="8" width="16.81640625" style="1" customWidth="1"/>
    <col min="9" max="9" width="19.54296875" style="1" customWidth="1"/>
    <col min="10" max="10" width="21.1796875" style="1" bestFit="1" customWidth="1"/>
    <col min="11" max="11" width="8.7265625" style="1"/>
    <col min="12" max="12" width="13.1796875" style="1" bestFit="1" customWidth="1"/>
    <col min="13" max="16384" width="8.7265625" style="1"/>
  </cols>
  <sheetData>
    <row r="1" spans="1:15" ht="15" customHeight="1" x14ac:dyDescent="0.35">
      <c r="A1" s="6" t="s">
        <v>38</v>
      </c>
      <c r="B1" s="7"/>
      <c r="C1" s="7"/>
      <c r="D1" s="7"/>
      <c r="E1" s="7"/>
      <c r="F1" s="7"/>
      <c r="G1" s="7"/>
      <c r="H1" s="7"/>
      <c r="I1" s="7"/>
      <c r="J1" s="8"/>
      <c r="K1" s="9"/>
      <c r="L1" s="9"/>
      <c r="M1" s="9"/>
      <c r="N1" s="9"/>
      <c r="O1" s="9"/>
    </row>
    <row r="2" spans="1:15" ht="15" customHeight="1" thickBot="1" x14ac:dyDescent="0.4">
      <c r="A2" s="10"/>
      <c r="B2" s="11"/>
      <c r="C2" s="11"/>
      <c r="D2" s="11"/>
      <c r="E2" s="11"/>
      <c r="F2" s="11"/>
      <c r="G2" s="11"/>
      <c r="H2" s="11"/>
      <c r="I2" s="11"/>
      <c r="J2" s="12"/>
      <c r="K2" s="9"/>
      <c r="L2" s="9"/>
      <c r="M2" s="9"/>
      <c r="N2" s="9"/>
      <c r="O2" s="9"/>
    </row>
    <row r="3" spans="1:15" ht="15" customHeight="1" thickBot="1" x14ac:dyDescent="0.4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3" thickBot="1" x14ac:dyDescent="0.4">
      <c r="A4" s="13" t="s">
        <v>2</v>
      </c>
      <c r="B4" s="14"/>
      <c r="C4" s="14"/>
      <c r="D4" s="14"/>
      <c r="E4" s="14"/>
      <c r="F4" s="14"/>
      <c r="G4" s="14"/>
      <c r="H4" s="14"/>
      <c r="I4" s="14"/>
      <c r="J4" s="15"/>
      <c r="K4" s="9"/>
      <c r="L4" s="9"/>
      <c r="M4" s="9"/>
      <c r="N4" s="9"/>
      <c r="O4" s="9"/>
    </row>
    <row r="5" spans="1:15" ht="13" thickBot="1" x14ac:dyDescent="0.4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s="4" customFormat="1" ht="37.5" x14ac:dyDescent="0.35">
      <c r="A6" s="16" t="s">
        <v>14</v>
      </c>
      <c r="B6" s="17" t="s">
        <v>19</v>
      </c>
      <c r="C6" s="17" t="s">
        <v>34</v>
      </c>
      <c r="D6" s="17" t="s">
        <v>23</v>
      </c>
      <c r="E6" s="17" t="s">
        <v>31</v>
      </c>
      <c r="F6" s="17" t="s">
        <v>21</v>
      </c>
      <c r="G6" s="17" t="s">
        <v>1</v>
      </c>
      <c r="H6" s="17" t="s">
        <v>22</v>
      </c>
      <c r="I6" s="17" t="s">
        <v>32</v>
      </c>
      <c r="J6" s="18" t="s">
        <v>10</v>
      </c>
      <c r="K6" s="19"/>
      <c r="L6" s="19"/>
      <c r="M6" s="19"/>
      <c r="N6" s="19"/>
      <c r="O6" s="19"/>
    </row>
    <row r="7" spans="1:15" x14ac:dyDescent="0.35">
      <c r="A7" s="20" t="s">
        <v>17</v>
      </c>
      <c r="B7" s="21">
        <v>11000</v>
      </c>
      <c r="C7" s="22">
        <f>ROUND(D7*1.305,2)</f>
        <v>3.6</v>
      </c>
      <c r="D7" s="22">
        <v>2.76</v>
      </c>
      <c r="E7" s="23">
        <f>(B7*C7)*3</f>
        <v>118800</v>
      </c>
      <c r="F7" s="23">
        <f>(D7*B7)*3</f>
        <v>91079.999999999985</v>
      </c>
      <c r="G7" s="24">
        <f>E7-F7</f>
        <v>27720.000000000015</v>
      </c>
      <c r="H7" s="2">
        <v>0</v>
      </c>
      <c r="I7" s="25">
        <f>E7-G7+G7*(1-H7)</f>
        <v>118800</v>
      </c>
      <c r="J7" s="26" t="str">
        <f>IF(I7&gt;E7,"VALORE SOPRA BASE D'ASTA","OK")</f>
        <v>OK</v>
      </c>
      <c r="K7" s="9"/>
      <c r="L7" s="9"/>
      <c r="M7" s="9"/>
      <c r="N7" s="9"/>
      <c r="O7" s="9"/>
    </row>
    <row r="8" spans="1:15" x14ac:dyDescent="0.35">
      <c r="A8" s="20" t="s">
        <v>20</v>
      </c>
      <c r="B8" s="21">
        <v>6500</v>
      </c>
      <c r="C8" s="22">
        <f t="shared" ref="C8:C9" si="0">ROUND(D8*1.305,2)</f>
        <v>3.6</v>
      </c>
      <c r="D8" s="22">
        <v>2.76</v>
      </c>
      <c r="E8" s="23">
        <f>(B8*C8)*3</f>
        <v>70200</v>
      </c>
      <c r="F8" s="23">
        <f>(D8*B8)*3</f>
        <v>53820</v>
      </c>
      <c r="G8" s="24">
        <f>E8-F8</f>
        <v>16380</v>
      </c>
      <c r="H8" s="2">
        <v>0</v>
      </c>
      <c r="I8" s="25">
        <f>E8-G8+G8*(1-H8)</f>
        <v>70200</v>
      </c>
      <c r="J8" s="26" t="str">
        <f>IF(I8&gt;E8,"VALORE SOPRA BASE D'ASTA","OK")</f>
        <v>OK</v>
      </c>
      <c r="K8" s="9"/>
      <c r="L8" s="9"/>
      <c r="M8" s="9"/>
      <c r="N8" s="9"/>
      <c r="O8" s="9"/>
    </row>
    <row r="9" spans="1:15" x14ac:dyDescent="0.35">
      <c r="A9" s="20" t="s">
        <v>18</v>
      </c>
      <c r="B9" s="21">
        <v>13000</v>
      </c>
      <c r="C9" s="22">
        <f t="shared" si="0"/>
        <v>3.6</v>
      </c>
      <c r="D9" s="22">
        <v>2.76</v>
      </c>
      <c r="E9" s="23">
        <f>(B9*C9)*3</f>
        <v>140400</v>
      </c>
      <c r="F9" s="23">
        <f>(D9*B9)*3</f>
        <v>107640</v>
      </c>
      <c r="G9" s="24">
        <f t="shared" ref="G9:G12" si="1">E9-F9</f>
        <v>32760</v>
      </c>
      <c r="H9" s="3">
        <v>0</v>
      </c>
      <c r="I9" s="25">
        <f>E9-G9+G9*(1-H9)</f>
        <v>140400</v>
      </c>
      <c r="J9" s="26" t="str">
        <f>IF(I9&gt;E9,"VALORE SOPRA BASE D'ASTA","OK")</f>
        <v>OK</v>
      </c>
      <c r="K9" s="9"/>
      <c r="L9" s="27"/>
      <c r="M9" s="9"/>
      <c r="N9" s="9"/>
      <c r="O9" s="9"/>
    </row>
    <row r="10" spans="1:15" s="5" customFormat="1" ht="13" thickBot="1" x14ac:dyDescent="0.4">
      <c r="A10" s="28" t="s">
        <v>9</v>
      </c>
      <c r="B10" s="29"/>
      <c r="C10" s="30"/>
      <c r="D10" s="30"/>
      <c r="E10" s="31">
        <f>SUM(E7:E9)</f>
        <v>329400</v>
      </c>
      <c r="F10" s="31">
        <f>SUM(F7:F9)</f>
        <v>252540</v>
      </c>
      <c r="G10" s="32">
        <f t="shared" si="1"/>
        <v>76860</v>
      </c>
      <c r="H10" s="33"/>
      <c r="I10" s="34">
        <f>SUM(I7:I9)</f>
        <v>329400</v>
      </c>
      <c r="J10" s="33"/>
      <c r="K10" s="35"/>
      <c r="L10" s="35"/>
      <c r="M10" s="35"/>
      <c r="N10" s="35"/>
      <c r="O10" s="35"/>
    </row>
    <row r="11" spans="1:15" ht="37.5" x14ac:dyDescent="0.35">
      <c r="A11" s="16" t="s">
        <v>13</v>
      </c>
      <c r="B11" s="17" t="s">
        <v>19</v>
      </c>
      <c r="C11" s="17" t="s">
        <v>34</v>
      </c>
      <c r="D11" s="17" t="s">
        <v>23</v>
      </c>
      <c r="E11" s="17" t="s">
        <v>31</v>
      </c>
      <c r="F11" s="17" t="s">
        <v>21</v>
      </c>
      <c r="G11" s="17" t="s">
        <v>1</v>
      </c>
      <c r="H11" s="17" t="s">
        <v>8</v>
      </c>
      <c r="I11" s="17" t="s">
        <v>32</v>
      </c>
      <c r="J11" s="18" t="s">
        <v>0</v>
      </c>
      <c r="K11" s="9"/>
      <c r="L11" s="9"/>
      <c r="M11" s="9"/>
      <c r="N11" s="9"/>
      <c r="O11" s="9"/>
    </row>
    <row r="12" spans="1:15" x14ac:dyDescent="0.35">
      <c r="A12" s="20" t="s">
        <v>17</v>
      </c>
      <c r="B12" s="21">
        <v>3000</v>
      </c>
      <c r="C12" s="22">
        <f>ROUND(D12*1.305,2)</f>
        <v>3.6</v>
      </c>
      <c r="D12" s="22">
        <v>2.76</v>
      </c>
      <c r="E12" s="23">
        <f>(B12*C12)*3</f>
        <v>32400</v>
      </c>
      <c r="F12" s="23">
        <f>(D12*B12)*3</f>
        <v>24840</v>
      </c>
      <c r="G12" s="24">
        <f t="shared" si="1"/>
        <v>7560</v>
      </c>
      <c r="H12" s="2">
        <v>0</v>
      </c>
      <c r="I12" s="25">
        <f>E12-G12+G12*(1-H12)</f>
        <v>32400</v>
      </c>
      <c r="J12" s="26" t="str">
        <f>IF(I12&gt;E12,"ATTENZIONE VALORE SOPRA BASE D'ASTA","OK")</f>
        <v>OK</v>
      </c>
      <c r="K12" s="9"/>
      <c r="L12" s="9"/>
      <c r="M12" s="9"/>
      <c r="N12" s="9"/>
      <c r="O12" s="9"/>
    </row>
    <row r="13" spans="1:15" x14ac:dyDescent="0.35">
      <c r="A13" s="20" t="s">
        <v>20</v>
      </c>
      <c r="B13" s="21">
        <v>3000</v>
      </c>
      <c r="C13" s="22">
        <f>ROUND(D13*1.305,2)</f>
        <v>3.6</v>
      </c>
      <c r="D13" s="22">
        <v>2.76</v>
      </c>
      <c r="E13" s="23">
        <f>(B13*C13)*3</f>
        <v>32400</v>
      </c>
      <c r="F13" s="23">
        <f>(D13*B13)*3</f>
        <v>24840</v>
      </c>
      <c r="G13" s="24">
        <f t="shared" ref="G13" si="2">E13-F13</f>
        <v>7560</v>
      </c>
      <c r="H13" s="2">
        <v>0</v>
      </c>
      <c r="I13" s="25">
        <f>E13-G13+G13*(1-H13)</f>
        <v>32400</v>
      </c>
      <c r="J13" s="26" t="str">
        <f>IF(I13&gt;E13,"ATTENZIONE VALORE SOPRA BASE D'ASTA","OK")</f>
        <v>OK</v>
      </c>
      <c r="K13" s="9"/>
      <c r="L13" s="9"/>
      <c r="M13" s="9"/>
      <c r="N13" s="9"/>
      <c r="O13" s="9"/>
    </row>
    <row r="14" spans="1:15" s="5" customFormat="1" ht="13" thickBot="1" x14ac:dyDescent="0.4">
      <c r="A14" s="28" t="s">
        <v>9</v>
      </c>
      <c r="B14" s="29"/>
      <c r="C14" s="30"/>
      <c r="D14" s="30"/>
      <c r="E14" s="31">
        <f>SUM(E12:E13)</f>
        <v>64800</v>
      </c>
      <c r="F14" s="31">
        <f>SUM(F12:F13)</f>
        <v>49680</v>
      </c>
      <c r="G14" s="32">
        <f>SUM(G12:G12)</f>
        <v>7560</v>
      </c>
      <c r="H14" s="33"/>
      <c r="I14" s="34">
        <f>SUM(I12:I13)</f>
        <v>64800</v>
      </c>
      <c r="J14" s="36"/>
      <c r="K14" s="35"/>
      <c r="L14" s="35"/>
      <c r="M14" s="35"/>
      <c r="N14" s="35"/>
      <c r="O14" s="35"/>
    </row>
    <row r="15" spans="1:15" ht="37.5" x14ac:dyDescent="0.35">
      <c r="A15" s="16" t="s">
        <v>15</v>
      </c>
      <c r="B15" s="17" t="s">
        <v>19</v>
      </c>
      <c r="C15" s="17" t="s">
        <v>34</v>
      </c>
      <c r="D15" s="17" t="s">
        <v>23</v>
      </c>
      <c r="E15" s="17" t="s">
        <v>31</v>
      </c>
      <c r="F15" s="17" t="s">
        <v>21</v>
      </c>
      <c r="G15" s="17" t="s">
        <v>1</v>
      </c>
      <c r="H15" s="37" t="s">
        <v>8</v>
      </c>
      <c r="I15" s="17" t="s">
        <v>32</v>
      </c>
      <c r="J15" s="18" t="s">
        <v>0</v>
      </c>
      <c r="K15" s="9"/>
      <c r="L15" s="9"/>
      <c r="M15" s="9"/>
      <c r="N15" s="9"/>
      <c r="O15" s="9"/>
    </row>
    <row r="16" spans="1:15" x14ac:dyDescent="0.35">
      <c r="A16" s="20" t="s">
        <v>17</v>
      </c>
      <c r="B16" s="38">
        <v>1000</v>
      </c>
      <c r="C16" s="39">
        <f>ROUND(D16*1.305,2)</f>
        <v>3.6</v>
      </c>
      <c r="D16" s="22">
        <v>2.76</v>
      </c>
      <c r="E16" s="23">
        <f>(B16*C16)*3</f>
        <v>10800</v>
      </c>
      <c r="F16" s="23">
        <f>(D16*B16)*3</f>
        <v>8280</v>
      </c>
      <c r="G16" s="24">
        <f>E16-F16</f>
        <v>2520</v>
      </c>
      <c r="H16" s="3">
        <v>0</v>
      </c>
      <c r="I16" s="25">
        <f>E16-G16+G16*(1-H16)</f>
        <v>10800</v>
      </c>
      <c r="J16" s="26" t="str">
        <f>IF(I16&gt;E16,"ATTENZIONE VALORE SOPRA BASE D'ASTA","OK")</f>
        <v>OK</v>
      </c>
      <c r="K16" s="9"/>
      <c r="L16" s="9"/>
      <c r="M16" s="9"/>
      <c r="N16" s="9"/>
      <c r="O16" s="9"/>
    </row>
    <row r="17" spans="1:15" x14ac:dyDescent="0.35">
      <c r="A17" s="20" t="s">
        <v>20</v>
      </c>
      <c r="B17" s="38">
        <v>6000</v>
      </c>
      <c r="C17" s="39">
        <f>ROUND(D17*1.305,2)</f>
        <v>3.6</v>
      </c>
      <c r="D17" s="22">
        <v>2.76</v>
      </c>
      <c r="E17" s="23">
        <f>(B17*C17)*3</f>
        <v>64800</v>
      </c>
      <c r="F17" s="23">
        <f>(D17*B17)*3</f>
        <v>49680</v>
      </c>
      <c r="G17" s="24">
        <f>E17-F17</f>
        <v>15120</v>
      </c>
      <c r="H17" s="3">
        <v>0</v>
      </c>
      <c r="I17" s="25">
        <f>E17-G17+G17*(1-H17)</f>
        <v>64800</v>
      </c>
      <c r="J17" s="26" t="str">
        <f>IF(I17&gt;E17,"ATTENZIONE VALORE SOPRA BASE D'ASTA","OK")</f>
        <v>OK</v>
      </c>
      <c r="K17" s="9"/>
      <c r="L17" s="9"/>
      <c r="M17" s="9"/>
      <c r="N17" s="9"/>
      <c r="O17" s="9"/>
    </row>
    <row r="18" spans="1:15" ht="13" thickBot="1" x14ac:dyDescent="0.4">
      <c r="A18" s="40" t="s">
        <v>6</v>
      </c>
      <c r="B18" s="41">
        <f>SUM(B7:B16)</f>
        <v>37500</v>
      </c>
      <c r="C18" s="41"/>
      <c r="D18" s="41"/>
      <c r="E18" s="42">
        <f>SUM(E16:E17)</f>
        <v>75600</v>
      </c>
      <c r="F18" s="42"/>
      <c r="G18" s="43">
        <f>SUM(G16:G17)</f>
        <v>17640</v>
      </c>
      <c r="H18" s="44">
        <v>0</v>
      </c>
      <c r="I18" s="44">
        <f>SUM(I16:I17)</f>
        <v>75600</v>
      </c>
      <c r="J18" s="45"/>
      <c r="K18" s="9"/>
      <c r="L18" s="9"/>
      <c r="M18" s="9"/>
      <c r="N18" s="9"/>
      <c r="O18" s="9"/>
    </row>
    <row r="19" spans="1:15" ht="56.5" customHeight="1" x14ac:dyDescent="0.35">
      <c r="A19" s="16" t="s">
        <v>16</v>
      </c>
      <c r="B19" s="17" t="s">
        <v>35</v>
      </c>
      <c r="C19" s="17" t="s">
        <v>36</v>
      </c>
      <c r="D19" s="17" t="s">
        <v>37</v>
      </c>
      <c r="E19" s="17" t="s">
        <v>31</v>
      </c>
      <c r="F19" s="17" t="s">
        <v>21</v>
      </c>
      <c r="G19" s="17" t="s">
        <v>1</v>
      </c>
      <c r="H19" s="37" t="s">
        <v>8</v>
      </c>
      <c r="I19" s="17" t="s">
        <v>32</v>
      </c>
      <c r="J19" s="18" t="s">
        <v>0</v>
      </c>
      <c r="K19" s="9"/>
      <c r="L19" s="9"/>
      <c r="M19" s="9"/>
      <c r="N19" s="9"/>
      <c r="O19" s="9"/>
    </row>
    <row r="20" spans="1:15" x14ac:dyDescent="0.35">
      <c r="A20" s="20" t="s">
        <v>17</v>
      </c>
      <c r="B20" s="46">
        <v>12000</v>
      </c>
      <c r="C20" s="23">
        <f>63195.63</f>
        <v>63195.63</v>
      </c>
      <c r="D20" s="47">
        <v>34856</v>
      </c>
      <c r="E20" s="23">
        <f>(C20)*3</f>
        <v>189586.88999999998</v>
      </c>
      <c r="F20" s="23">
        <f>(D20)*3</f>
        <v>104568</v>
      </c>
      <c r="G20" s="24">
        <f>E20-F20</f>
        <v>85018.889999999985</v>
      </c>
      <c r="H20" s="2">
        <v>0</v>
      </c>
      <c r="I20" s="25">
        <f>E20-G20+G20*(1-H20)</f>
        <v>189586.88999999998</v>
      </c>
      <c r="J20" s="26" t="str">
        <f>IF(I20&gt;E20,"ATTENZIONE VALORE SOPRA BASE D'ASTA","OK")</f>
        <v>OK</v>
      </c>
      <c r="K20" s="9"/>
      <c r="L20" s="9"/>
      <c r="M20" s="9"/>
      <c r="N20" s="9"/>
      <c r="O20" s="9"/>
    </row>
    <row r="21" spans="1:15" ht="13" thickBot="1" x14ac:dyDescent="0.4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35">
      <c r="A22" s="16" t="s">
        <v>26</v>
      </c>
      <c r="B22" s="17" t="s">
        <v>19</v>
      </c>
      <c r="C22" s="17" t="s">
        <v>25</v>
      </c>
      <c r="D22" s="17" t="s">
        <v>31</v>
      </c>
      <c r="E22" s="9"/>
      <c r="F22" s="9"/>
      <c r="G22" s="48"/>
      <c r="H22" s="9"/>
      <c r="I22" s="9"/>
      <c r="J22" s="9"/>
      <c r="K22" s="9"/>
      <c r="L22" s="9"/>
      <c r="M22" s="9"/>
      <c r="N22" s="9"/>
      <c r="O22" s="9"/>
    </row>
    <row r="23" spans="1:15" x14ac:dyDescent="0.35">
      <c r="A23" s="20" t="s">
        <v>24</v>
      </c>
      <c r="B23" s="46">
        <v>15500</v>
      </c>
      <c r="C23" s="49">
        <v>0.22000001</v>
      </c>
      <c r="D23" s="23">
        <f>B23*C23*3</f>
        <v>10230.000464999999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35">
      <c r="A25" s="9"/>
      <c r="B25" s="9"/>
      <c r="C25" s="9"/>
      <c r="D25" s="9"/>
      <c r="E25" s="50"/>
      <c r="F25" s="50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35">
      <c r="A26" s="51" t="s">
        <v>3</v>
      </c>
      <c r="B26" s="51"/>
      <c r="C26" s="9"/>
      <c r="D26" s="9"/>
      <c r="E26" s="50"/>
      <c r="F26" s="50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35">
      <c r="A27" s="52" t="s">
        <v>29</v>
      </c>
      <c r="B27" s="53">
        <f>I10+I14+I18+I20+D23</f>
        <v>669616.89046500006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35">
      <c r="A28" s="52" t="s">
        <v>30</v>
      </c>
      <c r="B28" s="53">
        <f>B27</f>
        <v>669616.89046500006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35">
      <c r="A29" s="54" t="s">
        <v>5</v>
      </c>
      <c r="B29" s="55">
        <f>SUM(B27:B28)</f>
        <v>1339233.7809300001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ht="25" x14ac:dyDescent="0.35">
      <c r="A30" s="52" t="s">
        <v>11</v>
      </c>
      <c r="B30" s="53">
        <v>401770.13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ht="25" x14ac:dyDescent="0.35">
      <c r="A31" s="52" t="s">
        <v>7</v>
      </c>
      <c r="B31" s="53">
        <v>267846.75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ht="25" x14ac:dyDescent="0.35">
      <c r="A32" s="52" t="s">
        <v>4</v>
      </c>
      <c r="B32" s="53">
        <v>200885.06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35">
      <c r="A33" s="52" t="s">
        <v>12</v>
      </c>
      <c r="B33" s="53">
        <v>111603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35">
      <c r="A34" s="52" t="s">
        <v>28</v>
      </c>
      <c r="B34" s="53">
        <v>66961.69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35">
      <c r="A35" s="52" t="s">
        <v>33</v>
      </c>
      <c r="B35" s="53">
        <v>2400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25" x14ac:dyDescent="0.35">
      <c r="A36" s="56" t="s">
        <v>27</v>
      </c>
      <c r="B36" s="57">
        <f>B29+B30+B31+B32+B33+B34+B35</f>
        <v>2390700.4109300002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</sheetData>
  <sheetProtection algorithmName="SHA-512" hashValue="231AHVJtljz5P6YDNcFvARkkD99kdAWogTHJs4g+7OtUCeveJogTOd2GOhJPi3dZSSnlvYxdJ4JQA0akpNquBA==" saltValue="nfWW01upuaADOMRnyyI5xQ==" spinCount="100000" sheet="1" objects="1" scenarios="1"/>
  <mergeCells count="3">
    <mergeCell ref="A1:J2"/>
    <mergeCell ref="A4:J4"/>
    <mergeCell ref="A26:B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Foglio1!_Hlk169614742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Stefano Frontini</cp:lastModifiedBy>
  <dcterms:created xsi:type="dcterms:W3CDTF">2018-08-06T12:47:15Z</dcterms:created>
  <dcterms:modified xsi:type="dcterms:W3CDTF">2025-07-22T07:37:47Z</dcterms:modified>
</cp:coreProperties>
</file>